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Y:\AGM Conference\2019\Conference Presentations CCPs\Soil Fertility_Rigas Karamanos\"/>
    </mc:Choice>
  </mc:AlternateContent>
  <xr:revisionPtr revIDLastSave="0" documentId="8_{50919CC0-7302-42C6-B2F0-45DB27FED69F}" xr6:coauthVersionLast="43" xr6:coauthVersionMax="43" xr10:uidLastSave="{00000000-0000-0000-0000-000000000000}"/>
  <bookViews>
    <workbookView xWindow="2835" yWindow="1665" windowWidth="18900" windowHeight="11055"/>
  </bookViews>
  <sheets>
    <sheet name="Calculator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N13" i="2"/>
  <c r="F37" i="1"/>
  <c r="I35" i="1"/>
  <c r="M10" i="2"/>
  <c r="J26" i="2"/>
  <c r="F33" i="1"/>
  <c r="K23" i="2"/>
  <c r="D21" i="2"/>
  <c r="E21" i="2"/>
  <c r="K9" i="2"/>
  <c r="K10" i="2"/>
  <c r="M21" i="2"/>
  <c r="M20" i="2"/>
  <c r="L21" i="2"/>
  <c r="N35" i="1"/>
  <c r="I26" i="1"/>
  <c r="N34" i="1"/>
  <c r="K26" i="2"/>
  <c r="K27" i="2"/>
  <c r="L26" i="2"/>
  <c r="I26" i="2"/>
  <c r="J28" i="2"/>
  <c r="J27" i="2"/>
  <c r="E31" i="2"/>
  <c r="K28" i="2"/>
  <c r="K12" i="2"/>
  <c r="L28" i="2"/>
  <c r="I27" i="2"/>
  <c r="I38" i="1"/>
  <c r="I39" i="1"/>
  <c r="G20" i="2"/>
  <c r="J10" i="2"/>
  <c r="I9" i="2"/>
  <c r="L20" i="2"/>
  <c r="I40" i="1"/>
  <c r="N33" i="1"/>
  <c r="P34" i="1"/>
  <c r="L19" i="2"/>
  <c r="K15" i="2"/>
  <c r="I28" i="2"/>
  <c r="M19" i="2"/>
  <c r="G19" i="2"/>
  <c r="G14" i="1"/>
  <c r="F31" i="2"/>
  <c r="D31" i="2"/>
  <c r="G21" i="2"/>
  <c r="K16" i="2"/>
  <c r="J16" i="2"/>
  <c r="D32" i="2"/>
  <c r="F39" i="1"/>
  <c r="F40" i="1"/>
  <c r="F38" i="1"/>
  <c r="G36" i="1"/>
  <c r="F36" i="1"/>
  <c r="G35" i="1"/>
  <c r="F35" i="1"/>
  <c r="M33" i="1"/>
  <c r="L33" i="1"/>
  <c r="M35" i="1"/>
  <c r="L35" i="1"/>
  <c r="G24" i="1"/>
  <c r="O38" i="1"/>
  <c r="M34" i="1"/>
  <c r="L34" i="1"/>
  <c r="O13" i="2"/>
  <c r="P13" i="2"/>
  <c r="L39" i="1"/>
  <c r="J13" i="2"/>
  <c r="K13" i="2"/>
  <c r="K20" i="2"/>
  <c r="N21" i="2"/>
  <c r="K19" i="2"/>
  <c r="K21" i="2"/>
  <c r="I33" i="1"/>
  <c r="H22" i="1"/>
  <c r="G34" i="1"/>
  <c r="F34" i="1"/>
  <c r="N20" i="2"/>
  <c r="I34" i="1"/>
  <c r="N19" i="2"/>
</calcChain>
</file>

<file path=xl/sharedStrings.xml><?xml version="1.0" encoding="utf-8"?>
<sst xmlns="http://schemas.openxmlformats.org/spreadsheetml/2006/main" count="103" uniqueCount="86">
  <si>
    <t>Fertilizer</t>
  </si>
  <si>
    <t>Crop</t>
  </si>
  <si>
    <t>Analysis</t>
  </si>
  <si>
    <t>salt Index</t>
  </si>
  <si>
    <t>Urea(46-0-0)</t>
  </si>
  <si>
    <t>factor</t>
  </si>
  <si>
    <t>Flax</t>
  </si>
  <si>
    <t>Wheat</t>
  </si>
  <si>
    <t>Oats</t>
  </si>
  <si>
    <t>Pea</t>
  </si>
  <si>
    <t>Barley</t>
  </si>
  <si>
    <t>Lentils</t>
  </si>
  <si>
    <t>C</t>
  </si>
  <si>
    <t>inches</t>
  </si>
  <si>
    <t>lb/gal</t>
  </si>
  <si>
    <t>N analy.</t>
  </si>
  <si>
    <t>Type A</t>
  </si>
  <si>
    <t>Type B</t>
  </si>
  <si>
    <t>Type C</t>
  </si>
  <si>
    <t>Fert. Factor (A)</t>
  </si>
  <si>
    <t>AN (34.5-0-0)</t>
  </si>
  <si>
    <t>Canola</t>
  </si>
  <si>
    <t>UAN(28-0-0)</t>
  </si>
  <si>
    <t>Rainfall, mm</t>
  </si>
  <si>
    <t>Soil test N</t>
  </si>
  <si>
    <t>lb N/acre (0-24")</t>
  </si>
  <si>
    <t>Select</t>
  </si>
  <si>
    <t>type</t>
  </si>
  <si>
    <t>Seed Spread</t>
  </si>
  <si>
    <t>Row spacing</t>
  </si>
  <si>
    <t>lbs N/acre</t>
  </si>
  <si>
    <t>Guideline* for seedrow placed N</t>
  </si>
  <si>
    <t>SBU</t>
  </si>
  <si>
    <t>Calculated</t>
  </si>
  <si>
    <t>SEEDROW FERTILIZER APPLICATION RISK ASSESSMENT TOOL</t>
  </si>
  <si>
    <t>before seeding</t>
  </si>
  <si>
    <t>after seeding</t>
  </si>
  <si>
    <t>Soil moisture</t>
  </si>
  <si>
    <t>High</t>
  </si>
  <si>
    <t>Low-Medium</t>
  </si>
  <si>
    <t>Dry</t>
  </si>
  <si>
    <t>Borderline</t>
  </si>
  <si>
    <t>Moist</t>
  </si>
  <si>
    <t>AS (20-0-0-24)</t>
  </si>
  <si>
    <t>Estimated plant stand, %</t>
  </si>
  <si>
    <t>Cereals</t>
  </si>
  <si>
    <t>Oilseeds</t>
  </si>
  <si>
    <t>*Karamanos et. al. 2004. Can. J. Plant Sci. 84: 105-116.</t>
  </si>
  <si>
    <t>Rationale for 85 % Plant Stand Minimum safety*</t>
  </si>
  <si>
    <t>Cells in color can be modified</t>
  </si>
  <si>
    <t>Estimated</t>
  </si>
  <si>
    <t>Plant stand, %</t>
  </si>
  <si>
    <t>Applied rate:</t>
  </si>
  <si>
    <t>(lb N/acre)</t>
  </si>
  <si>
    <t>Impact of applying more N:</t>
  </si>
  <si>
    <t>* This is a guideline only based on average data and does not imply any guarantees of no damage to crop</t>
  </si>
  <si>
    <t>canola</t>
  </si>
  <si>
    <t xml:space="preserve">    Plant stand data for canola adapted from: http://www.canola-council.org/PDF/CPCfertilizer.pdf </t>
  </si>
  <si>
    <t>Organic matter</t>
  </si>
  <si>
    <t>%</t>
  </si>
  <si>
    <t>OM</t>
  </si>
  <si>
    <t>&lt;3.5</t>
  </si>
  <si>
    <t>3.5-6</t>
  </si>
  <si>
    <t>&gt;6</t>
  </si>
  <si>
    <t>Test</t>
  </si>
  <si>
    <t xml:space="preserve">Type </t>
  </si>
  <si>
    <t>A</t>
  </si>
  <si>
    <t>B</t>
  </si>
  <si>
    <t>Mean</t>
  </si>
  <si>
    <t>3±3</t>
  </si>
  <si>
    <t>4±7</t>
  </si>
  <si>
    <t>90±40</t>
  </si>
  <si>
    <t>2±2</t>
  </si>
  <si>
    <t>4±4</t>
  </si>
  <si>
    <t>4±3</t>
  </si>
  <si>
    <t>7±7</t>
  </si>
  <si>
    <t>within 48 hours</t>
  </si>
  <si>
    <t>Spring</t>
  </si>
  <si>
    <t>46±22</t>
  </si>
  <si>
    <t>43±26</t>
  </si>
  <si>
    <t>Fill in when AS is used</t>
  </si>
  <si>
    <t>Texture</t>
  </si>
  <si>
    <t>L</t>
  </si>
  <si>
    <t>M</t>
  </si>
  <si>
    <t>H</t>
  </si>
  <si>
    <t>Heavy (Clay to heavy clay)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</si>
</sst>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0;[Red]0.00"/>
    <numFmt numFmtId="174" formatCode="0.0"/>
  </numFmts>
  <fonts count="13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0"/>
      <name val="Arial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8"/>
      <name val="Arial"/>
    </font>
    <font>
      <sz val="8"/>
      <name val="Arial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17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4" fillId="0" borderId="0" xfId="0" applyFont="1" applyFill="1" applyBorder="1"/>
    <xf numFmtId="172" fontId="0" fillId="0" borderId="0" xfId="0" applyNumberFormat="1" applyProtection="1">
      <protection locked="0"/>
    </xf>
    <xf numFmtId="0" fontId="0" fillId="0" borderId="5" xfId="0" applyBorder="1" applyProtection="1">
      <protection locked="0"/>
    </xf>
    <xf numFmtId="172" fontId="0" fillId="0" borderId="5" xfId="0" applyNumberForma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quotePrefix="1" applyNumberFormat="1" applyFo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5" fillId="0" borderId="0" xfId="0" applyFont="1" applyBorder="1"/>
    <xf numFmtId="0" fontId="4" fillId="0" borderId="0" xfId="0" applyFont="1"/>
    <xf numFmtId="2" fontId="4" fillId="0" borderId="0" xfId="0" applyNumberFormat="1" applyFont="1" applyBorder="1"/>
    <xf numFmtId="174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4" fillId="3" borderId="6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74" fontId="4" fillId="3" borderId="7" xfId="0" applyNumberFormat="1" applyFont="1" applyFill="1" applyBorder="1" applyAlignment="1">
      <alignment horizontal="center"/>
    </xf>
    <xf numFmtId="174" fontId="4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174" fontId="4" fillId="3" borderId="10" xfId="0" applyNumberFormat="1" applyFont="1" applyFill="1" applyBorder="1" applyAlignment="1">
      <alignment horizontal="center"/>
    </xf>
    <xf numFmtId="0" fontId="4" fillId="3" borderId="11" xfId="0" applyFont="1" applyFill="1" applyBorder="1"/>
    <xf numFmtId="1" fontId="4" fillId="3" borderId="12" xfId="0" applyNumberFormat="1" applyFont="1" applyFill="1" applyBorder="1" applyAlignment="1">
      <alignment horizontal="center"/>
    </xf>
    <xf numFmtId="174" fontId="4" fillId="3" borderId="0" xfId="0" applyNumberFormat="1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12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center"/>
    </xf>
    <xf numFmtId="1" fontId="4" fillId="3" borderId="15" xfId="0" applyNumberFormat="1" applyFont="1" applyFill="1" applyBorder="1" applyAlignment="1" applyProtection="1">
      <alignment horizontal="center"/>
      <protection hidden="1"/>
    </xf>
    <xf numFmtId="0" fontId="4" fillId="3" borderId="16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" fontId="8" fillId="3" borderId="4" xfId="0" applyNumberFormat="1" applyFont="1" applyFill="1" applyBorder="1" applyAlignment="1" applyProtection="1">
      <alignment horizontal="center"/>
      <protection hidden="1"/>
    </xf>
    <xf numFmtId="0" fontId="7" fillId="3" borderId="1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4" fillId="3" borderId="23" xfId="0" applyFont="1" applyFill="1" applyBorder="1" applyAlignment="1">
      <alignment horizontal="right"/>
    </xf>
    <xf numFmtId="0" fontId="4" fillId="3" borderId="24" xfId="0" applyFont="1" applyFill="1" applyBorder="1"/>
    <xf numFmtId="0" fontId="4" fillId="3" borderId="6" xfId="0" applyFont="1" applyFill="1" applyBorder="1" applyAlignment="1">
      <alignment horizontal="center"/>
    </xf>
    <xf numFmtId="174" fontId="10" fillId="0" borderId="0" xfId="0" applyNumberFormat="1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/>
    <xf numFmtId="1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74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74" fontId="0" fillId="0" borderId="0" xfId="0" applyNumberFormat="1" applyBorder="1" applyProtection="1">
      <protection locked="0"/>
    </xf>
    <xf numFmtId="174" fontId="10" fillId="0" borderId="0" xfId="0" applyNumberFormat="1" applyFont="1" applyBorder="1" applyAlignment="1" applyProtection="1">
      <alignment horizontal="center"/>
      <protection locked="0"/>
    </xf>
    <xf numFmtId="0" fontId="4" fillId="3" borderId="27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3" borderId="10" xfId="0" applyFont="1" applyFill="1" applyBorder="1" applyAlignment="1"/>
    <xf numFmtId="0" fontId="7" fillId="3" borderId="25" xfId="0" applyFont="1" applyFill="1" applyBorder="1" applyAlignment="1">
      <alignment horizontal="center"/>
    </xf>
    <xf numFmtId="0" fontId="6" fillId="3" borderId="5" xfId="0" applyFont="1" applyFill="1" applyBorder="1" applyAlignment="1"/>
    <xf numFmtId="1" fontId="8" fillId="3" borderId="11" xfId="0" applyNumberFormat="1" applyFont="1" applyFill="1" applyBorder="1" applyAlignment="1" applyProtection="1">
      <alignment horizontal="center" vertical="center"/>
      <protection hidden="1"/>
    </xf>
    <xf numFmtId="0" fontId="9" fillId="3" borderId="26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58876328116211"/>
          <c:y val="0.14615384615384616"/>
          <c:w val="0.67892319365424336"/>
          <c:h val="0.66923076923076918"/>
        </c:manualLayout>
      </c:layout>
      <c:lineChart>
        <c:grouping val="standard"/>
        <c:varyColors val="0"/>
        <c:ser>
          <c:idx val="1"/>
          <c:order val="0"/>
          <c:tx>
            <c:v>Plant Stand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0</c:v>
              </c:pt>
              <c:pt idx="1">
                <c:v>17.858769280773782</c:v>
              </c:pt>
              <c:pt idx="2">
                <c:v>26.788153921160674</c:v>
              </c:pt>
              <c:pt idx="3">
                <c:v>35.717538561547563</c:v>
              </c:pt>
              <c:pt idx="4">
                <c:v>53.576307842321349</c:v>
              </c:pt>
              <c:pt idx="5">
                <c:v>71.435077123095127</c:v>
              </c:pt>
            </c:numLit>
          </c:cat>
          <c:val>
            <c:numLit>
              <c:formatCode>General</c:formatCode>
              <c:ptCount val="6"/>
              <c:pt idx="0">
                <c:v>100.08619600198486</c:v>
              </c:pt>
              <c:pt idx="1">
                <c:v>98</c:v>
              </c:pt>
              <c:pt idx="2">
                <c:v>88</c:v>
              </c:pt>
              <c:pt idx="3">
                <c:v>77</c:v>
              </c:pt>
              <c:pt idx="4">
                <c:v>62</c:v>
              </c:pt>
              <c:pt idx="5">
                <c:v>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AF1-4DD2-ACD5-8F1F33D1BBDC}"/>
            </c:ext>
          </c:extLst>
        </c:ser>
        <c:ser>
          <c:idx val="0"/>
          <c:order val="1"/>
          <c:tx>
            <c:v>DTM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cat>
            <c:numLit>
              <c:formatCode>General</c:formatCode>
              <c:ptCount val="6"/>
              <c:pt idx="0">
                <c:v>0</c:v>
              </c:pt>
              <c:pt idx="1">
                <c:v>17.858769280773782</c:v>
              </c:pt>
              <c:pt idx="2">
                <c:v>26.788153921160674</c:v>
              </c:pt>
              <c:pt idx="3">
                <c:v>35.717538561547563</c:v>
              </c:pt>
              <c:pt idx="4">
                <c:v>53.576307842321349</c:v>
              </c:pt>
              <c:pt idx="5">
                <c:v>71.435077123095127</c:v>
              </c:pt>
            </c:numLit>
          </c:cat>
          <c:val>
            <c:numLit>
              <c:formatCode>General</c:formatCode>
              <c:ptCount val="6"/>
              <c:pt idx="0">
                <c:v>101.65151350407463</c:v>
              </c:pt>
              <c:pt idx="1">
                <c:v>99.36266509883022</c:v>
              </c:pt>
              <c:pt idx="2">
                <c:v>99.686543633592393</c:v>
              </c:pt>
              <c:pt idx="3">
                <c:v>101.36566053395799</c:v>
              </c:pt>
              <c:pt idx="4">
                <c:v>102.25831898014171</c:v>
              </c:pt>
              <c:pt idx="5">
                <c:v>103.42111907969061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AF1-4DD2-ACD5-8F1F33D1B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33288"/>
        <c:axId val="1"/>
      </c:lineChart>
      <c:lineChart>
        <c:grouping val="standard"/>
        <c:varyColors val="0"/>
        <c:ser>
          <c:idx val="2"/>
          <c:order val="2"/>
          <c:tx>
            <c:v>Yield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cat>
            <c:numLit>
              <c:formatCode>General</c:formatCode>
              <c:ptCount val="6"/>
              <c:pt idx="0">
                <c:v>0</c:v>
              </c:pt>
              <c:pt idx="1">
                <c:v>20</c:v>
              </c:pt>
              <c:pt idx="2">
                <c:v>30</c:v>
              </c:pt>
              <c:pt idx="3">
                <c:v>40</c:v>
              </c:pt>
              <c:pt idx="4">
                <c:v>60</c:v>
              </c:pt>
              <c:pt idx="5">
                <c:v>80</c:v>
              </c:pt>
            </c:numLit>
          </c:cat>
          <c:val>
            <c:numLit>
              <c:formatCode>General</c:formatCode>
              <c:ptCount val="6"/>
              <c:pt idx="0">
                <c:v>46.964839597629528</c:v>
              </c:pt>
              <c:pt idx="1">
                <c:v>53.065983883924268</c:v>
              </c:pt>
              <c:pt idx="2">
                <c:v>58.047190876709394</c:v>
              </c:pt>
              <c:pt idx="3">
                <c:v>59.41274016307451</c:v>
              </c:pt>
              <c:pt idx="4">
                <c:v>59.557348673360792</c:v>
              </c:pt>
              <c:pt idx="5">
                <c:v>55.84113243363403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AF1-4DD2-ACD5-8F1F33D1B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73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Nitrogen rate, lb/acre</a:t>
                </a:r>
              </a:p>
            </c:rich>
          </c:tx>
          <c:layout>
            <c:manualLayout>
              <c:xMode val="edge"/>
              <c:yMode val="edge"/>
              <c:x val="0.4264716910386202"/>
              <c:y val="0.903846229747597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5"/>
          <c:min val="25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plant stand,% or DTM, days/yr</a:t>
                </a:r>
              </a:p>
            </c:rich>
          </c:tx>
          <c:layout>
            <c:manualLayout>
              <c:xMode val="edge"/>
              <c:yMode val="edge"/>
              <c:x val="9.8039439985256077E-2"/>
              <c:y val="0.20962327077536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7332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5"/>
          <c:min val="45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bu/acre</a:t>
                </a:r>
              </a:p>
            </c:rich>
          </c:tx>
          <c:layout>
            <c:manualLayout>
              <c:xMode val="edge"/>
              <c:yMode val="edge"/>
              <c:x val="0.93872782851296133"/>
              <c:y val="0.27307678645432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1617725750382897"/>
          <c:y val="4.2307737848558402E-2"/>
          <c:w val="0.50735403837232207"/>
          <c:h val="8.0769245949519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30507125192972"/>
          <c:y val="5.3763629044960536E-2"/>
          <c:w val="0.66281829940357451"/>
          <c:h val="0.68100596790283341"/>
        </c:manualLayout>
      </c:layout>
      <c:lineChart>
        <c:grouping val="standard"/>
        <c:varyColors val="0"/>
        <c:ser>
          <c:idx val="1"/>
          <c:order val="0"/>
          <c:tx>
            <c:v>Plant Stand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0</c:v>
              </c:pt>
              <c:pt idx="1">
                <c:v>17.858769280773782</c:v>
              </c:pt>
              <c:pt idx="2">
                <c:v>26.788153921160674</c:v>
              </c:pt>
              <c:pt idx="3">
                <c:v>35.717538561547563</c:v>
              </c:pt>
              <c:pt idx="4">
                <c:v>53.576307842321349</c:v>
              </c:pt>
              <c:pt idx="5">
                <c:v>71.435077123095127</c:v>
              </c:pt>
            </c:numLit>
          </c:cat>
          <c:val>
            <c:numLit>
              <c:formatCode>General</c:formatCode>
              <c:ptCount val="6"/>
              <c:pt idx="0">
                <c:v>99.989684887480522</c:v>
              </c:pt>
              <c:pt idx="1">
                <c:v>94.726838166301633</c:v>
              </c:pt>
              <c:pt idx="2">
                <c:v>91.993090536231819</c:v>
              </c:pt>
              <c:pt idx="3">
                <c:v>82.245350276917407</c:v>
              </c:pt>
              <c:pt idx="4">
                <c:v>70.629574786554585</c:v>
              </c:pt>
              <c:pt idx="5">
                <c:v>59.977292003495116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6D-4992-BF20-F5A0D8E5546F}"/>
            </c:ext>
          </c:extLst>
        </c:ser>
        <c:ser>
          <c:idx val="0"/>
          <c:order val="1"/>
          <c:tx>
            <c:v>DTM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cat>
            <c:numLit>
              <c:formatCode>General</c:formatCode>
              <c:ptCount val="6"/>
              <c:pt idx="0">
                <c:v>0</c:v>
              </c:pt>
              <c:pt idx="1">
                <c:v>17.858769280773782</c:v>
              </c:pt>
              <c:pt idx="2">
                <c:v>26.788153921160674</c:v>
              </c:pt>
              <c:pt idx="3">
                <c:v>35.717538561547563</c:v>
              </c:pt>
              <c:pt idx="4">
                <c:v>53.576307842321349</c:v>
              </c:pt>
              <c:pt idx="5">
                <c:v>71.435077123095127</c:v>
              </c:pt>
            </c:numLit>
          </c:cat>
          <c:val>
            <c:numLit>
              <c:formatCode>General</c:formatCode>
              <c:ptCount val="6"/>
              <c:pt idx="0">
                <c:v>85.501723871688824</c:v>
              </c:pt>
              <c:pt idx="1">
                <c:v>80.050011720150621</c:v>
              </c:pt>
              <c:pt idx="2">
                <c:v>82.065428401843405</c:v>
              </c:pt>
              <c:pt idx="3">
                <c:v>84.547778348241707</c:v>
              </c:pt>
              <c:pt idx="4">
                <c:v>88.963789993543827</c:v>
              </c:pt>
              <c:pt idx="5">
                <c:v>90.566869890570899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26D-4992-BF20-F5A0D8E55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83960"/>
        <c:axId val="1"/>
      </c:lineChart>
      <c:lineChart>
        <c:grouping val="standard"/>
        <c:varyColors val="0"/>
        <c:ser>
          <c:idx val="2"/>
          <c:order val="2"/>
          <c:tx>
            <c:v>Yield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0</c:v>
              </c:pt>
              <c:pt idx="1">
                <c:v>20</c:v>
              </c:pt>
              <c:pt idx="2">
                <c:v>30</c:v>
              </c:pt>
              <c:pt idx="3">
                <c:v>40</c:v>
              </c:pt>
              <c:pt idx="4">
                <c:v>60</c:v>
              </c:pt>
              <c:pt idx="5">
                <c:v>80</c:v>
              </c:pt>
            </c:numLit>
          </c:cat>
          <c:val>
            <c:numLit>
              <c:formatCode>General</c:formatCode>
              <c:ptCount val="6"/>
              <c:pt idx="0">
                <c:v>58.618135300253719</c:v>
              </c:pt>
              <c:pt idx="1">
                <c:v>64.249079251035553</c:v>
              </c:pt>
              <c:pt idx="2">
                <c:v>73.96573579472215</c:v>
              </c:pt>
              <c:pt idx="3">
                <c:v>77.690233232336752</c:v>
              </c:pt>
              <c:pt idx="4">
                <c:v>72.905893589282854</c:v>
              </c:pt>
              <c:pt idx="5">
                <c:v>70.695429594803642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26D-4992-BF20-F5A0D8E55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983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Nitrogen rate, lb/acre</a:t>
                </a:r>
              </a:p>
            </c:rich>
          </c:tx>
          <c:layout>
            <c:manualLayout>
              <c:xMode val="edge"/>
              <c:yMode val="edge"/>
              <c:x val="0.39030069871403067"/>
              <c:y val="0.831544290179275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plant stand,% or DTM, days/yr</a:t>
                </a:r>
              </a:p>
            </c:rich>
          </c:tx>
          <c:layout>
            <c:manualLayout>
              <c:xMode val="edge"/>
              <c:yMode val="edge"/>
              <c:x val="5.0808374980524693E-2"/>
              <c:y val="7.168489097873366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98396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55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bu/acre</a:t>
                </a:r>
              </a:p>
            </c:rich>
          </c:tx>
          <c:layout>
            <c:manualLayout>
              <c:xMode val="edge"/>
              <c:yMode val="edge"/>
              <c:x val="0.91455050995337916"/>
              <c:y val="0.20071747215343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1408813624324355"/>
          <c:y val="2.5089637646884246E-2"/>
          <c:w val="0.45034696005465075"/>
          <c:h val="7.16848909787336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35" dropStyle="combo" dx="22" fmlaLink="data!B23" fmlaRange="data!$A$5:$A$13" sel="2" val="0"/>
</file>

<file path=xl/ctrlProps/ctrlProp2.xml><?xml version="1.0" encoding="utf-8"?>
<formControlPr xmlns="http://schemas.microsoft.com/office/spreadsheetml/2009/9/main" objectType="Drop" dropLines="35" dropStyle="combo" dx="22" fmlaLink="data!G23" fmlaRange="data!$F$3:$F$12" sel="3" val="0"/>
</file>

<file path=xl/ctrlProps/ctrlProp3.xml><?xml version="1.0" encoding="utf-8"?>
<formControlPr xmlns="http://schemas.microsoft.com/office/spreadsheetml/2009/9/main" objectType="Radio" firstButton="1" fmlaLink="data!$K$6"/>
</file>

<file path=xl/ctrlProps/ctrlProp4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 checked="Checked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11</xdr:row>
          <xdr:rowOff>9525</xdr:rowOff>
        </xdr:from>
        <xdr:to>
          <xdr:col>7</xdr:col>
          <xdr:colOff>457200</xdr:colOff>
          <xdr:row>12</xdr:row>
          <xdr:rowOff>47625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9EA5204-D980-49AD-94D8-C3AC0C827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180975</xdr:rowOff>
        </xdr:from>
        <xdr:to>
          <xdr:col>7</xdr:col>
          <xdr:colOff>904875</xdr:colOff>
          <xdr:row>15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BFC1291-C4C8-4E69-9CCC-58BEB529A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</xdr:row>
          <xdr:rowOff>180975</xdr:rowOff>
        </xdr:from>
        <xdr:to>
          <xdr:col>8</xdr:col>
          <xdr:colOff>676275</xdr:colOff>
          <xdr:row>8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87F1B908-36CE-4055-B468-0EACE3323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0</xdr:rowOff>
        </xdr:from>
        <xdr:to>
          <xdr:col>9</xdr:col>
          <xdr:colOff>38100</xdr:colOff>
          <xdr:row>9</xdr:row>
          <xdr:rowOff>28575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DB808939-9816-41EA-99C9-AF9B8BA172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9525</xdr:rowOff>
        </xdr:from>
        <xdr:to>
          <xdr:col>9</xdr:col>
          <xdr:colOff>171450</xdr:colOff>
          <xdr:row>10</xdr:row>
          <xdr:rowOff>28575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B0EF567-9C44-4443-9BF9-0B26572E2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C</a:t>
              </a:r>
            </a:p>
          </xdr:txBody>
        </xdr:sp>
        <xdr:clientData fLocksWithSheet="0"/>
      </xdr:twoCellAnchor>
    </mc:Choice>
    <mc:Fallback/>
  </mc:AlternateContent>
  <xdr:twoCellAnchor>
    <xdr:from>
      <xdr:col>10</xdr:col>
      <xdr:colOff>0</xdr:colOff>
      <xdr:row>1</xdr:row>
      <xdr:rowOff>180975</xdr:rowOff>
    </xdr:from>
    <xdr:to>
      <xdr:col>17</xdr:col>
      <xdr:colOff>104775</xdr:colOff>
      <xdr:row>13</xdr:row>
      <xdr:rowOff>95250</xdr:rowOff>
    </xdr:to>
    <xdr:graphicFrame macro="">
      <xdr:nvGraphicFramePr>
        <xdr:cNvPr id="1096" name="Chart 21">
          <a:extLst>
            <a:ext uri="{FF2B5EF4-FFF2-40B4-BE49-F238E27FC236}">
              <a16:creationId xmlns:a16="http://schemas.microsoft.com/office/drawing/2014/main" id="{ACDC7A3D-675F-479A-A1D4-65B9CCF87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14</xdr:row>
      <xdr:rowOff>133350</xdr:rowOff>
    </xdr:from>
    <xdr:to>
      <xdr:col>17</xdr:col>
      <xdr:colOff>371475</xdr:colOff>
      <xdr:row>25</xdr:row>
      <xdr:rowOff>28575</xdr:rowOff>
    </xdr:to>
    <xdr:graphicFrame macro="">
      <xdr:nvGraphicFramePr>
        <xdr:cNvPr id="1097" name="Chart 22">
          <a:extLst>
            <a:ext uri="{FF2B5EF4-FFF2-40B4-BE49-F238E27FC236}">
              <a16:creationId xmlns:a16="http://schemas.microsoft.com/office/drawing/2014/main" id="{F0BB92B3-CDBE-4CF5-90DD-131AF0504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489585</xdr:colOff>
      <xdr:row>7</xdr:row>
      <xdr:rowOff>190500</xdr:rowOff>
    </xdr:from>
    <xdr:ext cx="459905" cy="179151"/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1A392FD0-D103-4DA4-9330-57BED6611C66}"/>
            </a:ext>
          </a:extLst>
        </xdr:cNvPr>
        <xdr:cNvSpPr txBox="1">
          <a:spLocks noChangeArrowheads="1"/>
        </xdr:cNvSpPr>
      </xdr:nvSpPr>
      <xdr:spPr bwMode="auto">
        <a:xfrm>
          <a:off x="10366375" y="1765300"/>
          <a:ext cx="403187" cy="16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Wheat</a:t>
          </a:r>
        </a:p>
      </xdr:txBody>
    </xdr:sp>
    <xdr:clientData/>
  </xdr:oneCellAnchor>
  <xdr:twoCellAnchor>
    <xdr:from>
      <xdr:col>1</xdr:col>
      <xdr:colOff>76200</xdr:colOff>
      <xdr:row>8</xdr:row>
      <xdr:rowOff>38100</xdr:rowOff>
    </xdr:from>
    <xdr:to>
      <xdr:col>2</xdr:col>
      <xdr:colOff>28575</xdr:colOff>
      <xdr:row>11</xdr:row>
      <xdr:rowOff>9525</xdr:rowOff>
    </xdr:to>
    <xdr:sp macro="" textlink="">
      <xdr:nvSpPr>
        <xdr:cNvPr id="1058" name="AutoShape 34">
          <a:extLst>
            <a:ext uri="{FF2B5EF4-FFF2-40B4-BE49-F238E27FC236}">
              <a16:creationId xmlns:a16="http://schemas.microsoft.com/office/drawing/2014/main" id="{A91F60DD-5B46-4FC8-BD06-EFC197574FBF}"/>
            </a:ext>
          </a:extLst>
        </xdr:cNvPr>
        <xdr:cNvSpPr>
          <a:spLocks noChangeArrowheads="1"/>
        </xdr:cNvSpPr>
      </xdr:nvSpPr>
      <xdr:spPr bwMode="auto">
        <a:xfrm>
          <a:off x="390525" y="1781175"/>
          <a:ext cx="914400" cy="590550"/>
        </a:xfrm>
        <a:prstGeom prst="irregularSeal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CA" sz="1400" b="1" i="0" u="none" strike="noStrike" baseline="0">
              <a:solidFill>
                <a:srgbClr val="008000"/>
              </a:solidFill>
              <a:latin typeface="Script MT Bold"/>
            </a:rPr>
            <a:t>Ideal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0.49072</cdr:x>
      <cdr:y>0.4072</cdr:y>
    </cdr:from>
    <cdr:to>
      <cdr:x>0.58877</cdr:x>
      <cdr:y>0.46812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2089" y="1104757"/>
          <a:ext cx="410497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Barley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R40"/>
  <sheetViews>
    <sheetView showGridLines="0" tabSelected="1" topLeftCell="A2" zoomScale="75" workbookViewId="0">
      <selection activeCell="H19" sqref="H19"/>
    </sheetView>
  </sheetViews>
  <sheetFormatPr defaultColWidth="8.85546875" defaultRowHeight="15.75" x14ac:dyDescent="0.25"/>
  <cols>
    <col min="1" max="1" width="4.7109375" style="26" customWidth="1"/>
    <col min="2" max="2" width="14.42578125" style="26" customWidth="1"/>
    <col min="3" max="3" width="7.42578125" style="26" customWidth="1"/>
    <col min="4" max="4" width="14" style="26" customWidth="1"/>
    <col min="5" max="5" width="13.28515625" style="26" customWidth="1"/>
    <col min="6" max="6" width="23.42578125" style="26" customWidth="1"/>
    <col min="7" max="7" width="15.85546875" style="26" customWidth="1"/>
    <col min="8" max="8" width="16.5703125" style="26" customWidth="1"/>
    <col min="9" max="9" width="11.42578125" style="26" customWidth="1"/>
    <col min="10" max="10" width="5.28515625" style="26" customWidth="1"/>
    <col min="11" max="11" width="3.5703125" style="26" customWidth="1"/>
    <col min="12" max="17" width="8.85546875" style="26" customWidth="1"/>
    <col min="18" max="18" width="8.7109375" style="26" customWidth="1"/>
    <col min="19" max="16384" width="8.85546875" style="26"/>
  </cols>
  <sheetData>
    <row r="1" spans="2:18" ht="16.5" thickBot="1" x14ac:dyDescent="0.3"/>
    <row r="2" spans="2:18" ht="24.75" customHeight="1" thickTop="1" thickBot="1" x14ac:dyDescent="0.35">
      <c r="B2" s="59"/>
      <c r="C2" s="93" t="s">
        <v>34</v>
      </c>
      <c r="D2" s="82"/>
      <c r="E2" s="82"/>
      <c r="F2" s="82"/>
      <c r="G2" s="82"/>
      <c r="H2" s="82"/>
      <c r="I2" s="82"/>
      <c r="J2" s="82"/>
      <c r="K2" s="82"/>
      <c r="L2" s="81" t="s">
        <v>48</v>
      </c>
      <c r="M2" s="82"/>
      <c r="N2" s="82"/>
      <c r="O2" s="82"/>
      <c r="P2" s="82"/>
      <c r="Q2" s="82"/>
      <c r="R2" s="60"/>
    </row>
    <row r="3" spans="2:18" ht="16.5" thickBot="1" x14ac:dyDescent="0.3">
      <c r="B3" s="61"/>
      <c r="C3" s="31"/>
      <c r="D3" s="83" t="s">
        <v>49</v>
      </c>
      <c r="E3" s="84"/>
      <c r="F3" s="85"/>
      <c r="G3" s="31"/>
      <c r="H3" s="31"/>
      <c r="I3" s="31"/>
      <c r="J3" s="31"/>
      <c r="K3" s="31"/>
      <c r="L3" s="56"/>
      <c r="M3" s="31"/>
      <c r="N3" s="31"/>
      <c r="O3" s="31"/>
      <c r="P3" s="31"/>
      <c r="Q3" s="31"/>
      <c r="R3" s="62"/>
    </row>
    <row r="4" spans="2:18" x14ac:dyDescent="0.25">
      <c r="B4" s="6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62"/>
    </row>
    <row r="5" spans="2:18" ht="16.5" thickBot="1" x14ac:dyDescent="0.3">
      <c r="B5" s="61"/>
      <c r="C5" s="30"/>
      <c r="D5" s="30"/>
      <c r="E5" s="30"/>
      <c r="F5" s="70" t="s">
        <v>68</v>
      </c>
      <c r="G5" s="86" t="s">
        <v>23</v>
      </c>
      <c r="H5" s="86"/>
      <c r="I5" s="31"/>
      <c r="J5" s="31"/>
      <c r="K5" s="31"/>
      <c r="L5" s="31"/>
      <c r="M5" s="31"/>
      <c r="N5" s="31"/>
      <c r="O5" s="31"/>
      <c r="P5" s="31"/>
      <c r="Q5" s="31"/>
      <c r="R5" s="62"/>
    </row>
    <row r="6" spans="2:18" x14ac:dyDescent="0.25">
      <c r="B6" s="61"/>
      <c r="C6" s="31"/>
      <c r="D6" s="32" t="s">
        <v>77</v>
      </c>
      <c r="E6" s="32"/>
      <c r="F6" s="57" t="s">
        <v>24</v>
      </c>
      <c r="G6" s="89" t="s">
        <v>76</v>
      </c>
      <c r="H6" s="90"/>
      <c r="I6" s="1" t="s">
        <v>26</v>
      </c>
      <c r="J6" s="32"/>
      <c r="K6" s="31"/>
      <c r="L6" s="31"/>
      <c r="M6" s="31"/>
      <c r="N6" s="31"/>
      <c r="O6" s="31"/>
      <c r="P6" s="31"/>
      <c r="Q6" s="31"/>
      <c r="R6" s="62"/>
    </row>
    <row r="7" spans="2:18" x14ac:dyDescent="0.25">
      <c r="B7" s="61"/>
      <c r="C7" s="33"/>
      <c r="D7" s="34" t="s">
        <v>37</v>
      </c>
      <c r="E7" s="34" t="s">
        <v>24</v>
      </c>
      <c r="F7" s="35" t="s">
        <v>25</v>
      </c>
      <c r="G7" s="35" t="s">
        <v>35</v>
      </c>
      <c r="H7" s="36" t="s">
        <v>36</v>
      </c>
      <c r="I7" s="2" t="s">
        <v>27</v>
      </c>
      <c r="J7" s="32"/>
      <c r="K7" s="31"/>
      <c r="L7" s="31"/>
      <c r="M7" s="31"/>
      <c r="N7" s="31"/>
      <c r="O7" s="31"/>
      <c r="P7" s="31"/>
      <c r="Q7" s="31"/>
      <c r="R7" s="62"/>
    </row>
    <row r="8" spans="2:18" x14ac:dyDescent="0.25">
      <c r="B8" s="61"/>
      <c r="C8" s="31" t="s">
        <v>16</v>
      </c>
      <c r="D8" s="32" t="s">
        <v>40</v>
      </c>
      <c r="E8" s="32" t="s">
        <v>38</v>
      </c>
      <c r="F8" s="58" t="s">
        <v>71</v>
      </c>
      <c r="G8" s="44" t="s">
        <v>69</v>
      </c>
      <c r="H8" s="44" t="s">
        <v>72</v>
      </c>
      <c r="I8" s="3"/>
      <c r="J8" s="31"/>
      <c r="K8" s="31"/>
      <c r="L8" s="31"/>
      <c r="M8" s="31"/>
      <c r="N8" s="31"/>
      <c r="O8" s="31"/>
      <c r="P8" s="31"/>
      <c r="Q8" s="31"/>
      <c r="R8" s="62"/>
    </row>
    <row r="9" spans="2:18" x14ac:dyDescent="0.25">
      <c r="B9" s="61"/>
      <c r="C9" s="31" t="s">
        <v>17</v>
      </c>
      <c r="D9" s="32" t="s">
        <v>41</v>
      </c>
      <c r="E9" s="32" t="s">
        <v>39</v>
      </c>
      <c r="F9" s="58" t="s">
        <v>78</v>
      </c>
      <c r="G9" s="44" t="s">
        <v>70</v>
      </c>
      <c r="H9" s="44" t="s">
        <v>73</v>
      </c>
      <c r="I9" s="3"/>
      <c r="J9" s="31"/>
      <c r="K9" s="31"/>
      <c r="L9" s="31"/>
      <c r="M9" s="31"/>
      <c r="N9" s="31"/>
      <c r="O9" s="31"/>
      <c r="P9" s="31"/>
      <c r="Q9" s="31"/>
      <c r="R9" s="62"/>
    </row>
    <row r="10" spans="2:18" ht="16.5" thickBot="1" x14ac:dyDescent="0.3">
      <c r="B10" s="61"/>
      <c r="C10" s="73" t="s">
        <v>18</v>
      </c>
      <c r="D10" s="34" t="s">
        <v>42</v>
      </c>
      <c r="E10" s="34" t="s">
        <v>39</v>
      </c>
      <c r="F10" s="37" t="s">
        <v>79</v>
      </c>
      <c r="G10" s="38" t="s">
        <v>74</v>
      </c>
      <c r="H10" s="39" t="s">
        <v>75</v>
      </c>
      <c r="I10" s="4"/>
      <c r="J10" s="31"/>
      <c r="K10" s="31"/>
      <c r="L10" s="31"/>
      <c r="M10" s="31"/>
      <c r="N10" s="31"/>
      <c r="O10" s="31"/>
      <c r="P10" s="31"/>
      <c r="Q10" s="31"/>
      <c r="R10" s="62"/>
    </row>
    <row r="11" spans="2:18" ht="16.5" thickBot="1" x14ac:dyDescent="0.3">
      <c r="B11" s="61"/>
      <c r="C11" s="31"/>
      <c r="D11" s="31"/>
      <c r="E11" s="31"/>
      <c r="F11" s="58"/>
      <c r="G11" s="44"/>
      <c r="H11" s="44"/>
      <c r="I11" s="31"/>
      <c r="J11" s="31"/>
      <c r="K11" s="31"/>
      <c r="L11" s="31"/>
      <c r="M11" s="31"/>
      <c r="N11" s="31"/>
      <c r="O11" s="31"/>
      <c r="P11" s="31"/>
      <c r="Q11" s="31"/>
      <c r="R11" s="62"/>
    </row>
    <row r="12" spans="2:18" x14ac:dyDescent="0.25">
      <c r="B12" s="61"/>
      <c r="C12" s="31"/>
      <c r="D12" s="31"/>
      <c r="E12" s="31"/>
      <c r="F12" s="40" t="s">
        <v>0</v>
      </c>
      <c r="G12" s="41"/>
      <c r="H12" s="41"/>
      <c r="I12" s="42"/>
      <c r="J12" s="31"/>
      <c r="K12" s="31"/>
      <c r="L12" s="31"/>
      <c r="M12" s="31"/>
      <c r="N12" s="31"/>
      <c r="O12" s="31"/>
      <c r="P12" s="31"/>
      <c r="Q12" s="31"/>
      <c r="R12" s="62"/>
    </row>
    <row r="13" spans="2:18" ht="16.5" thickBot="1" x14ac:dyDescent="0.3">
      <c r="B13" s="61"/>
      <c r="C13" s="31"/>
      <c r="D13" s="31"/>
      <c r="E13" s="31"/>
      <c r="F13" s="43"/>
      <c r="G13" s="44"/>
      <c r="H13" s="44"/>
      <c r="I13" s="45"/>
      <c r="J13" s="31"/>
      <c r="K13" s="31"/>
      <c r="L13" s="31"/>
      <c r="M13" s="31"/>
      <c r="N13" s="31"/>
      <c r="O13" s="31"/>
      <c r="P13" s="31"/>
      <c r="Q13" s="31"/>
      <c r="R13" s="62"/>
    </row>
    <row r="14" spans="2:18" ht="16.5" thickBot="1" x14ac:dyDescent="0.3">
      <c r="B14" s="61"/>
      <c r="C14" s="31"/>
      <c r="D14" s="31"/>
      <c r="E14" s="31"/>
      <c r="F14" s="46" t="s">
        <v>80</v>
      </c>
      <c r="G14" s="31" t="str">
        <f>IF(F33=0.91,"Add S rate","  ")</f>
        <v xml:space="preserve">  </v>
      </c>
      <c r="H14" s="5"/>
      <c r="I14" s="45"/>
      <c r="J14" s="31"/>
      <c r="K14" s="31"/>
      <c r="L14" s="31"/>
      <c r="M14" s="31"/>
      <c r="N14" s="31"/>
      <c r="O14" s="31"/>
      <c r="P14" s="31"/>
      <c r="Q14" s="31"/>
      <c r="R14" s="62"/>
    </row>
    <row r="15" spans="2:18" s="7" customFormat="1" x14ac:dyDescent="0.25">
      <c r="B15" s="61"/>
      <c r="C15" s="31"/>
      <c r="D15" s="31"/>
      <c r="E15" s="31"/>
      <c r="F15" s="46"/>
      <c r="G15" s="31"/>
      <c r="H15" s="31"/>
      <c r="I15" s="45"/>
      <c r="J15" s="31"/>
      <c r="K15" s="31"/>
      <c r="L15" s="31"/>
      <c r="M15" s="31"/>
      <c r="N15" s="31"/>
      <c r="O15" s="31"/>
      <c r="P15" s="31"/>
      <c r="Q15" s="31"/>
      <c r="R15" s="62"/>
    </row>
    <row r="16" spans="2:18" s="7" customFormat="1" ht="16.5" thickBot="1" x14ac:dyDescent="0.3">
      <c r="B16" s="61"/>
      <c r="C16" s="31"/>
      <c r="D16" s="31"/>
      <c r="E16" s="31"/>
      <c r="F16" s="46" t="s">
        <v>1</v>
      </c>
      <c r="G16" s="31"/>
      <c r="H16" s="31"/>
      <c r="I16" s="45"/>
      <c r="J16" s="31"/>
      <c r="K16" s="31"/>
      <c r="L16" s="31"/>
      <c r="M16" s="31"/>
      <c r="N16" s="31"/>
      <c r="O16" s="31"/>
      <c r="P16" s="31"/>
      <c r="Q16" s="31"/>
      <c r="R16" s="62"/>
    </row>
    <row r="17" spans="2:18" s="7" customFormat="1" ht="19.5" thickBot="1" x14ac:dyDescent="0.35">
      <c r="B17" s="61"/>
      <c r="C17" s="31"/>
      <c r="D17" s="31"/>
      <c r="E17" s="31"/>
      <c r="F17" s="55" t="s">
        <v>28</v>
      </c>
      <c r="G17" s="32" t="s">
        <v>13</v>
      </c>
      <c r="H17" s="5">
        <v>1</v>
      </c>
      <c r="I17" s="45"/>
      <c r="J17" s="31"/>
      <c r="K17" s="31"/>
      <c r="L17" s="31"/>
      <c r="M17" s="31"/>
      <c r="N17" s="31"/>
      <c r="O17" s="31"/>
      <c r="P17" s="31"/>
      <c r="Q17" s="31"/>
      <c r="R17" s="62"/>
    </row>
    <row r="18" spans="2:18" s="7" customFormat="1" ht="19.5" thickBot="1" x14ac:dyDescent="0.35">
      <c r="B18" s="61"/>
      <c r="C18" s="31"/>
      <c r="D18" s="31"/>
      <c r="E18" s="31"/>
      <c r="F18" s="55" t="s">
        <v>29</v>
      </c>
      <c r="G18" s="32" t="s">
        <v>13</v>
      </c>
      <c r="H18" s="6">
        <v>10</v>
      </c>
      <c r="I18" s="45"/>
      <c r="J18" s="31"/>
      <c r="K18" s="31"/>
      <c r="L18" s="31"/>
      <c r="M18" s="31"/>
      <c r="N18" s="32"/>
      <c r="O18" s="31"/>
      <c r="P18" s="31"/>
      <c r="Q18" s="31"/>
      <c r="R18" s="62"/>
    </row>
    <row r="19" spans="2:18" s="7" customFormat="1" ht="33" customHeight="1" thickBot="1" x14ac:dyDescent="0.35">
      <c r="B19" s="61"/>
      <c r="C19" s="31"/>
      <c r="D19" s="31"/>
      <c r="E19" s="31"/>
      <c r="F19" s="55" t="s">
        <v>81</v>
      </c>
      <c r="G19" s="32"/>
      <c r="H19" s="72" t="s">
        <v>85</v>
      </c>
      <c r="I19" s="45"/>
      <c r="J19" s="31"/>
      <c r="K19" s="31"/>
      <c r="L19" s="31"/>
      <c r="M19" s="31"/>
      <c r="N19" s="32"/>
      <c r="O19" s="31"/>
      <c r="P19" s="31"/>
      <c r="Q19" s="31"/>
      <c r="R19" s="62"/>
    </row>
    <row r="20" spans="2:18" s="7" customFormat="1" ht="19.5" thickBot="1" x14ac:dyDescent="0.35">
      <c r="B20" s="61"/>
      <c r="C20" s="31"/>
      <c r="D20" s="31"/>
      <c r="E20" s="31"/>
      <c r="F20" s="55" t="s">
        <v>58</v>
      </c>
      <c r="G20" s="32" t="s">
        <v>59</v>
      </c>
      <c r="H20" s="5">
        <v>5</v>
      </c>
      <c r="I20" s="45"/>
      <c r="J20" s="31"/>
      <c r="K20" s="31"/>
      <c r="L20" s="31"/>
      <c r="M20" s="31"/>
      <c r="N20" s="32"/>
      <c r="O20" s="31"/>
      <c r="P20" s="31"/>
      <c r="Q20" s="31"/>
      <c r="R20" s="62"/>
    </row>
    <row r="21" spans="2:18" s="7" customFormat="1" ht="16.5" thickBot="1" x14ac:dyDescent="0.3">
      <c r="B21" s="61"/>
      <c r="C21" s="31"/>
      <c r="D21" s="31"/>
      <c r="E21" s="31"/>
      <c r="F21" s="47" t="s">
        <v>33</v>
      </c>
      <c r="G21" s="48" t="s">
        <v>32</v>
      </c>
      <c r="H21" s="49">
        <f>100*H17/H18</f>
        <v>10</v>
      </c>
      <c r="I21" s="50"/>
      <c r="J21" s="31"/>
      <c r="K21" s="31"/>
      <c r="L21" s="31"/>
      <c r="M21" s="31"/>
      <c r="N21" s="31"/>
      <c r="O21" s="31"/>
      <c r="P21" s="31"/>
      <c r="Q21" s="31"/>
      <c r="R21" s="62"/>
    </row>
    <row r="22" spans="2:18" s="7" customFormat="1" ht="16.5" thickBot="1" x14ac:dyDescent="0.3">
      <c r="B22" s="61"/>
      <c r="C22" s="31"/>
      <c r="D22" s="31"/>
      <c r="E22" s="31"/>
      <c r="F22" s="91" t="s">
        <v>44</v>
      </c>
      <c r="G22" s="92"/>
      <c r="H22" s="49">
        <f>IF(F37&gt;0.9,I33,I34)</f>
        <v>86.314677290098373</v>
      </c>
      <c r="I22" s="50"/>
      <c r="J22" s="31"/>
      <c r="K22" s="31"/>
      <c r="L22" s="31"/>
      <c r="M22" s="31"/>
      <c r="N22" s="31"/>
      <c r="O22" s="31"/>
      <c r="P22" s="31"/>
      <c r="Q22" s="31"/>
      <c r="R22" s="62"/>
    </row>
    <row r="23" spans="2:18" s="7" customFormat="1" ht="16.5" thickBot="1" x14ac:dyDescent="0.3">
      <c r="B23" s="61"/>
      <c r="C23" s="31"/>
      <c r="D23" s="31"/>
      <c r="E23" s="31"/>
      <c r="F23" s="5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62"/>
    </row>
    <row r="24" spans="2:18" s="25" customFormat="1" ht="23.25" thickBot="1" x14ac:dyDescent="0.35">
      <c r="B24" s="63"/>
      <c r="C24" s="52"/>
      <c r="D24" s="87" t="s">
        <v>31</v>
      </c>
      <c r="E24" s="87"/>
      <c r="F24" s="88"/>
      <c r="G24" s="54">
        <f>IF(H19="Light (Sandy loam)",L33,IF(H19="Medium (Loam to clay loam)",L34,L35))</f>
        <v>34.201300992074046</v>
      </c>
      <c r="H24" s="53" t="s">
        <v>30</v>
      </c>
      <c r="I24" s="52"/>
      <c r="J24" s="52"/>
      <c r="K24" s="52"/>
      <c r="L24" s="52"/>
      <c r="M24" s="52"/>
      <c r="N24" s="52"/>
      <c r="O24" s="52"/>
      <c r="P24" s="52"/>
      <c r="Q24" s="52"/>
      <c r="R24" s="64"/>
    </row>
    <row r="25" spans="2:18" s="7" customFormat="1" ht="21" thickBot="1" x14ac:dyDescent="0.35">
      <c r="B25" s="61"/>
      <c r="C25" s="31"/>
      <c r="D25" s="52" t="s">
        <v>54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62"/>
    </row>
    <row r="26" spans="2:18" s="7" customFormat="1" ht="18.75" x14ac:dyDescent="0.3">
      <c r="B26" s="61"/>
      <c r="C26" s="31"/>
      <c r="D26" s="94" t="s">
        <v>52</v>
      </c>
      <c r="E26" s="95"/>
      <c r="F26" s="100">
        <v>25</v>
      </c>
      <c r="G26" s="94" t="s">
        <v>50</v>
      </c>
      <c r="H26" s="95"/>
      <c r="I26" s="98">
        <f>IF(H19="Light (Sandy loam)",I35*0.85,IF(H19="Medium (Loam to clay loam)",N35,N35*0.95))</f>
        <v>85.800675000000012</v>
      </c>
      <c r="J26" s="31"/>
      <c r="K26" s="31"/>
      <c r="L26" s="31"/>
      <c r="M26" s="31"/>
      <c r="N26" s="31"/>
      <c r="O26" s="31"/>
      <c r="P26" s="31"/>
      <c r="Q26" s="31"/>
      <c r="R26" s="62"/>
    </row>
    <row r="27" spans="2:18" s="14" customFormat="1" ht="19.5" thickBot="1" x14ac:dyDescent="0.35">
      <c r="B27" s="61"/>
      <c r="C27" s="31"/>
      <c r="D27" s="96" t="s">
        <v>53</v>
      </c>
      <c r="E27" s="97"/>
      <c r="F27" s="101"/>
      <c r="G27" s="96" t="s">
        <v>51</v>
      </c>
      <c r="H27" s="97"/>
      <c r="I27" s="99"/>
      <c r="J27" s="31"/>
      <c r="K27" s="31"/>
      <c r="L27" s="31"/>
      <c r="M27" s="31"/>
      <c r="N27" s="31"/>
      <c r="O27" s="31"/>
      <c r="P27" s="31"/>
      <c r="Q27" s="31"/>
      <c r="R27" s="62"/>
    </row>
    <row r="28" spans="2:18" s="14" customFormat="1" ht="10.5" customHeight="1" x14ac:dyDescent="0.25">
      <c r="B28" s="6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65"/>
    </row>
    <row r="29" spans="2:18" s="7" customFormat="1" x14ac:dyDescent="0.25">
      <c r="B29" s="61"/>
      <c r="C29" s="31" t="s">
        <v>55</v>
      </c>
      <c r="D29" s="31"/>
      <c r="E29" s="31"/>
      <c r="F29" s="51"/>
      <c r="G29" s="31"/>
      <c r="H29" s="31"/>
      <c r="I29" s="31"/>
      <c r="J29" s="31"/>
      <c r="K29" s="31"/>
      <c r="L29" s="31" t="s">
        <v>47</v>
      </c>
      <c r="M29" s="31"/>
      <c r="N29" s="31"/>
      <c r="O29" s="31"/>
      <c r="P29" s="31"/>
      <c r="Q29" s="31"/>
      <c r="R29" s="62"/>
    </row>
    <row r="30" spans="2:18" s="7" customFormat="1" ht="15.75" customHeight="1" thickBot="1" x14ac:dyDescent="0.3">
      <c r="B30" s="66"/>
      <c r="C30" s="67" t="s">
        <v>57</v>
      </c>
      <c r="D30" s="67"/>
      <c r="E30" s="67"/>
      <c r="F30" s="68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9"/>
    </row>
    <row r="31" spans="2:18" s="7" customFormat="1" ht="16.5" thickTop="1" x14ac:dyDescent="0.25">
      <c r="F31" s="22"/>
    </row>
    <row r="32" spans="2:18" s="7" customFormat="1" hidden="1" x14ac:dyDescent="0.25">
      <c r="F32" s="22"/>
    </row>
    <row r="33" spans="4:16" s="7" customFormat="1" hidden="1" x14ac:dyDescent="0.25">
      <c r="D33" s="22" t="s">
        <v>19</v>
      </c>
      <c r="F33" s="27">
        <f>INDEX(data!$B$3:$B$13,data!B23,1)</f>
        <v>1</v>
      </c>
      <c r="H33" s="21" t="s">
        <v>45</v>
      </c>
      <c r="I33" s="7">
        <f>CHOOSE(data!$K$6,data!K19,data!K20,data!K21)</f>
        <v>86.314677290098373</v>
      </c>
      <c r="J33" s="21" t="s">
        <v>82</v>
      </c>
      <c r="L33" s="74">
        <f>IF(M33&lt;0,0,M33)</f>
        <v>19.201300992074046</v>
      </c>
      <c r="M33" s="75">
        <f>IF(F33=0.91,(F34-15),($F$38*($F$37*$F$33)-15))</f>
        <v>19.201300992074046</v>
      </c>
      <c r="N33" s="7">
        <f>IF(F37&gt;0.6,CHOOSE(data!$K$6,data!L19,data!L20,data!L21),IF(F37&gt;0.3,CHOOSE(data!$K$6,data!M19,data!M20,data!M21),"n/a"))</f>
        <v>90.316500000000019</v>
      </c>
    </row>
    <row r="34" spans="4:16" s="7" customFormat="1" hidden="1" x14ac:dyDescent="0.25">
      <c r="D34" s="22"/>
      <c r="F34" s="7">
        <f>IF(F37&lt;0.6,F35,F36)</f>
        <v>34.201300992074046</v>
      </c>
      <c r="G34" s="7">
        <f>IF(F37&lt;0.31,0,IF(F37&lt;0.6,F35,F36))</f>
        <v>34.201300992074046</v>
      </c>
      <c r="H34" s="23" t="s">
        <v>46</v>
      </c>
      <c r="I34" s="7">
        <f>CHOOSE(data!$K$6,data!N19,data!N20,data!N21)</f>
        <v>86.314677290098373</v>
      </c>
      <c r="J34" s="21" t="s">
        <v>83</v>
      </c>
      <c r="L34" s="74">
        <f>IF(M34&lt;0,0,M34)</f>
        <v>29.201300992074046</v>
      </c>
      <c r="M34" s="75">
        <f>IF(F33=0.91,(F34-5),($F$38*($F$37*$F$33)-5))</f>
        <v>29.201300992074046</v>
      </c>
      <c r="N34" s="7">
        <f>IF(F37&gt;0.6,CHOOSE(data!$K$6,data!L19,data!L20,data!L21),IF(F37&gt;0.3,CHOOSE(data!$K$6,data!M19,data!M20,data!M21),"n/a"))</f>
        <v>90.316500000000019</v>
      </c>
      <c r="P34" s="7">
        <f>IF(H19="Light (Sandy loam)",I35*0.85,IF(H19="Medium (Loam to clay loam)",N35,N35*0.95))</f>
        <v>85.800675000000012</v>
      </c>
    </row>
    <row r="35" spans="4:16" s="7" customFormat="1" hidden="1" x14ac:dyDescent="0.25">
      <c r="F35" s="7">
        <f>IF(H21&lt;15,G35,$F$38*($F$37*$F$33))</f>
        <v>34.201300992074046</v>
      </c>
      <c r="G35" s="7">
        <f>IF(H14&gt;10,10,$F$38*($F$37*$F$33))</f>
        <v>34.201300992074046</v>
      </c>
      <c r="I35" s="7">
        <f>IF(F37&gt;0.6,CHOOSE(data!$K$6,data!L19,data!L20,data!L21),IF(F37&gt;0.3,CHOOSE(data!$K$6,data!M19,data!M20,data!M21),"n/a"))</f>
        <v>90.316500000000019</v>
      </c>
      <c r="J35" s="21" t="s">
        <v>84</v>
      </c>
      <c r="L35" s="74">
        <f>IF(M35&lt;0,0,M35)</f>
        <v>34.201300992074046</v>
      </c>
      <c r="M35" s="75">
        <f>IF(F33=0.91,F34,$F$38*($F$37*$F$33))</f>
        <v>34.201300992074046</v>
      </c>
      <c r="N35" s="7">
        <f>IF(F37&gt;0.6,CHOOSE(data!$K$6,data!L19,data!L20,data!L21),IF(F37&gt;0.3,CHOOSE(data!$K$6,data!M19,data!M20,data!M21),"n/a"))</f>
        <v>90.316500000000019</v>
      </c>
    </row>
    <row r="36" spans="4:16" s="7" customFormat="1" hidden="1" x14ac:dyDescent="0.25">
      <c r="D36" s="22"/>
      <c r="F36" s="7">
        <f>IF(H21&lt;20,G36,$F$38*($F$37*$F$33))</f>
        <v>34.201300992074046</v>
      </c>
      <c r="G36" s="7">
        <f>IF(H14&gt;20,20,$F$38*($F$37*$F$33))</f>
        <v>34.201300992074046</v>
      </c>
      <c r="H36" s="21"/>
    </row>
    <row r="37" spans="4:16" s="7" customFormat="1" hidden="1" x14ac:dyDescent="0.25">
      <c r="D37" s="22" t="s">
        <v>12</v>
      </c>
      <c r="F37" s="7">
        <f>INDEX(data!$G$3:$G$12,data!G23,1)</f>
        <v>1</v>
      </c>
      <c r="H37" s="7" t="s">
        <v>65</v>
      </c>
      <c r="I37" s="7" t="s">
        <v>61</v>
      </c>
    </row>
    <row r="38" spans="4:16" s="7" customFormat="1" hidden="1" x14ac:dyDescent="0.25">
      <c r="F38" s="28">
        <f>IF(H21&lt;22,F40,F39)</f>
        <v>34.201300992074046</v>
      </c>
      <c r="H38" s="7" t="s">
        <v>66</v>
      </c>
      <c r="I38" s="29">
        <f>IF(H20&lt;3.5, (data!I26/100)*40*data!K9/100, IF(H20&lt;6,(data!I27/100)*40*data!K9/100, (data!I28/100)*40*data!K9/100))</f>
        <v>11.941997189984638</v>
      </c>
      <c r="L38" s="21"/>
      <c r="O38" s="7">
        <f>F33*F38-5</f>
        <v>29.201300992074046</v>
      </c>
    </row>
    <row r="39" spans="4:16" s="7" customFormat="1" hidden="1" x14ac:dyDescent="0.25">
      <c r="F39" s="7">
        <f>CHOOSE(data!$K$6,I38,I39,I40)</f>
        <v>34.201300992074046</v>
      </c>
      <c r="H39" s="7" t="s">
        <v>67</v>
      </c>
      <c r="I39" s="29">
        <f>IF(Calculator!H20&lt;3.5, (data!J26/100)*65*data!K12/100, IF(Calculator!H20&lt;6,(data!J27/100)*65*data!K12/100, (data!J28/100)*65*data!K12/100))</f>
        <v>27.267613898014542</v>
      </c>
      <c r="L39" s="7">
        <f>CHOOSE(data!$K$6,data!K10,data!K13,data!K16)</f>
        <v>64.85566</v>
      </c>
    </row>
    <row r="40" spans="4:16" s="7" customFormat="1" hidden="1" x14ac:dyDescent="0.25">
      <c r="F40" s="7">
        <f>CHOOSE(data!$K$6,I38,I39,I40)</f>
        <v>34.201300992074046</v>
      </c>
      <c r="H40" s="7" t="s">
        <v>12</v>
      </c>
      <c r="I40" s="29">
        <f>IF(H20&lt;3.5, (data!K26/100)*100*data!K9/100, IF(H20&lt;6,(data!K27/100)*100*data!K9/100, (data!K28/100)*100*data!K9/100))</f>
        <v>34.201300992074046</v>
      </c>
    </row>
  </sheetData>
  <mergeCells count="13">
    <mergeCell ref="G26:H26"/>
    <mergeCell ref="G27:H27"/>
    <mergeCell ref="I26:I27"/>
    <mergeCell ref="D26:E26"/>
    <mergeCell ref="D27:E27"/>
    <mergeCell ref="F26:F27"/>
    <mergeCell ref="L2:Q2"/>
    <mergeCell ref="D3:F3"/>
    <mergeCell ref="G5:H5"/>
    <mergeCell ref="D24:F24"/>
    <mergeCell ref="G6:H6"/>
    <mergeCell ref="F22:G22"/>
    <mergeCell ref="C2:K2"/>
  </mergeCells>
  <phoneticPr fontId="0" type="noConversion"/>
  <dataValidations count="1">
    <dataValidation type="list" allowBlank="1" showInputMessage="1" showErrorMessage="1" sqref="H19">
      <formula1>"Light (Sandy loam),Medium (Loam to clay loam),Heavy (Clay to heavy clay)"</formula1>
    </dataValidation>
  </dataValidations>
  <pageMargins left="0" right="0" top="0.5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6</xdr:col>
                    <xdr:colOff>571500</xdr:colOff>
                    <xdr:row>11</xdr:row>
                    <xdr:rowOff>9525</xdr:rowOff>
                  </from>
                  <to>
                    <xdr:col>7</xdr:col>
                    <xdr:colOff>457200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7</xdr:col>
                    <xdr:colOff>0</xdr:colOff>
                    <xdr:row>14</xdr:row>
                    <xdr:rowOff>180975</xdr:rowOff>
                  </from>
                  <to>
                    <xdr:col>7</xdr:col>
                    <xdr:colOff>904875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Option Button 17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6</xdr:row>
                    <xdr:rowOff>180975</xdr:rowOff>
                  </from>
                  <to>
                    <xdr:col>8</xdr:col>
                    <xdr:colOff>676275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Option Button 1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0</xdr:rowOff>
                  </from>
                  <to>
                    <xdr:col>9</xdr:col>
                    <xdr:colOff>38100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9525</xdr:rowOff>
                  </from>
                  <to>
                    <xdr:col>9</xdr:col>
                    <xdr:colOff>171450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2"/>
  <sheetViews>
    <sheetView showGridLines="0" workbookViewId="0">
      <selection activeCell="A4" sqref="A4"/>
    </sheetView>
  </sheetViews>
  <sheetFormatPr defaultColWidth="8.85546875" defaultRowHeight="12.75" x14ac:dyDescent="0.2"/>
  <cols>
    <col min="1" max="1" width="16.7109375" style="9" customWidth="1"/>
    <col min="2" max="2" width="9.140625" style="15" customWidth="1"/>
    <col min="3" max="3" width="8.85546875" style="9" customWidth="1"/>
    <col min="4" max="5" width="9.140625" style="8" customWidth="1"/>
    <col min="6" max="6" width="16.7109375" style="9" customWidth="1"/>
    <col min="7" max="16384" width="8.85546875" style="9"/>
  </cols>
  <sheetData>
    <row r="1" spans="1:17" ht="12.75" customHeight="1" x14ac:dyDescent="0.2"/>
    <row r="2" spans="1:17" ht="12.75" customHeight="1" thickBot="1" x14ac:dyDescent="0.25">
      <c r="A2" s="16" t="s">
        <v>0</v>
      </c>
      <c r="B2" s="17" t="s">
        <v>2</v>
      </c>
      <c r="C2" s="16" t="s">
        <v>3</v>
      </c>
      <c r="D2" s="8" t="s">
        <v>14</v>
      </c>
      <c r="E2" s="8" t="s">
        <v>15</v>
      </c>
      <c r="F2" s="16" t="s">
        <v>1</v>
      </c>
      <c r="G2" s="16" t="s">
        <v>5</v>
      </c>
      <c r="H2" s="24"/>
      <c r="J2" s="24"/>
      <c r="K2" s="24"/>
      <c r="L2" s="24"/>
    </row>
    <row r="3" spans="1:17" ht="12.75" customHeight="1" x14ac:dyDescent="0.2">
      <c r="J3" s="24"/>
      <c r="K3" s="24"/>
      <c r="L3" s="24"/>
      <c r="M3" s="24"/>
      <c r="N3" s="77"/>
      <c r="O3" s="24"/>
      <c r="P3" s="24"/>
      <c r="Q3" s="24"/>
    </row>
    <row r="4" spans="1:17" ht="12.75" customHeight="1" x14ac:dyDescent="0.2">
      <c r="A4" s="18" t="s">
        <v>20</v>
      </c>
      <c r="B4" s="15">
        <v>1</v>
      </c>
      <c r="C4" s="9">
        <v>0.224</v>
      </c>
      <c r="D4" s="8">
        <v>0</v>
      </c>
      <c r="E4" s="8">
        <v>0</v>
      </c>
      <c r="F4" s="19" t="s">
        <v>21</v>
      </c>
      <c r="G4" s="9">
        <v>0.5</v>
      </c>
      <c r="J4" s="24"/>
      <c r="K4" s="24"/>
      <c r="L4" s="24"/>
      <c r="M4" s="24"/>
      <c r="N4" s="78"/>
      <c r="O4" s="24"/>
      <c r="P4" s="24"/>
      <c r="Q4" s="24"/>
    </row>
    <row r="5" spans="1:17" ht="12.75" customHeight="1" x14ac:dyDescent="0.2">
      <c r="A5" s="18" t="s">
        <v>43</v>
      </c>
      <c r="B5" s="15">
        <v>0.91</v>
      </c>
      <c r="C5" s="9">
        <v>0.48499999999999999</v>
      </c>
      <c r="D5" s="8">
        <v>0</v>
      </c>
      <c r="E5" s="8">
        <v>0.11</v>
      </c>
      <c r="F5" s="19" t="s">
        <v>7</v>
      </c>
      <c r="G5" s="10">
        <v>1</v>
      </c>
      <c r="H5" s="10"/>
      <c r="M5" s="24"/>
      <c r="N5" s="24"/>
      <c r="O5" s="24"/>
      <c r="P5" s="24"/>
      <c r="Q5" s="24"/>
    </row>
    <row r="6" spans="1:17" ht="12.75" customHeight="1" thickBot="1" x14ac:dyDescent="0.25">
      <c r="A6" s="18" t="s">
        <v>4</v>
      </c>
      <c r="B6" s="15">
        <v>0.9</v>
      </c>
      <c r="C6" s="9">
        <v>0.63700000000000001</v>
      </c>
      <c r="D6" s="8">
        <v>0</v>
      </c>
      <c r="E6" s="8">
        <v>0.18</v>
      </c>
      <c r="F6" s="19" t="s">
        <v>10</v>
      </c>
      <c r="G6" s="10">
        <v>1</v>
      </c>
      <c r="H6" s="10"/>
      <c r="J6" s="16"/>
      <c r="K6" s="8">
        <v>3</v>
      </c>
      <c r="M6" s="24"/>
      <c r="N6" s="78"/>
      <c r="O6" s="24"/>
      <c r="P6" s="24"/>
      <c r="Q6" s="24"/>
    </row>
    <row r="7" spans="1:17" ht="12.75" customHeight="1" x14ac:dyDescent="0.2">
      <c r="A7" s="18" t="s">
        <v>22</v>
      </c>
      <c r="B7" s="15">
        <v>0.99</v>
      </c>
      <c r="C7" s="9">
        <v>0.58799999999999997</v>
      </c>
      <c r="D7" s="8">
        <v>11.6</v>
      </c>
      <c r="E7" s="8">
        <v>0.1</v>
      </c>
      <c r="F7" s="19" t="s">
        <v>8</v>
      </c>
      <c r="G7" s="9">
        <v>0.95</v>
      </c>
      <c r="K7" s="10"/>
      <c r="M7" s="24"/>
      <c r="N7" s="24"/>
      <c r="O7" s="24"/>
      <c r="P7" s="24"/>
      <c r="Q7" s="24"/>
    </row>
    <row r="8" spans="1:17" ht="12.75" customHeight="1" x14ac:dyDescent="0.2">
      <c r="A8" s="20"/>
      <c r="B8" s="15">
        <v>0.21</v>
      </c>
      <c r="C8" s="9">
        <v>1.29</v>
      </c>
      <c r="D8" s="8">
        <v>10.7</v>
      </c>
      <c r="E8" s="8">
        <v>7.0000000000000007E-2</v>
      </c>
      <c r="F8" s="19" t="s">
        <v>6</v>
      </c>
      <c r="G8" s="9">
        <v>0.3</v>
      </c>
      <c r="K8" s="10"/>
      <c r="M8" s="24"/>
      <c r="N8" s="24"/>
      <c r="O8" s="24"/>
      <c r="P8" s="24"/>
      <c r="Q8" s="24"/>
    </row>
    <row r="9" spans="1:17" ht="12.75" customHeight="1" x14ac:dyDescent="0.2">
      <c r="A9" s="20"/>
      <c r="B9" s="15">
        <v>0.18</v>
      </c>
      <c r="C9" s="9">
        <v>1.26</v>
      </c>
      <c r="D9" s="8">
        <v>11</v>
      </c>
      <c r="E9" s="8">
        <v>0.09</v>
      </c>
      <c r="F9" s="19" t="s">
        <v>9</v>
      </c>
      <c r="G9" s="9">
        <v>0.3</v>
      </c>
      <c r="I9" s="9">
        <f>83.02+1.3643*M$10-0.4311*Calculator!F26-0.0285*M$10^2-0.00498*Calculator!F26^2+0.02178*M$10*Calculator!F26</f>
        <v>85.367999999999995</v>
      </c>
      <c r="K9" s="10">
        <f>83.02+1.3643*M$10-0.4311*$L11-0.0285*M$10^2-0.00498*$L11^2+0.02178*M$10*$L11</f>
        <v>53.564520000000002</v>
      </c>
    </row>
    <row r="10" spans="1:17" ht="12.75" customHeight="1" x14ac:dyDescent="0.2">
      <c r="A10" s="20"/>
      <c r="B10" s="15">
        <v>0.1</v>
      </c>
      <c r="C10" s="9">
        <v>2.4300000000000002</v>
      </c>
      <c r="D10" s="8">
        <v>10.7</v>
      </c>
      <c r="E10" s="8">
        <v>0.03</v>
      </c>
      <c r="F10" s="19" t="s">
        <v>11</v>
      </c>
      <c r="G10" s="9">
        <v>0.3</v>
      </c>
      <c r="I10" s="11"/>
      <c r="J10" s="11">
        <f>25*K9/100</f>
        <v>13.39113</v>
      </c>
      <c r="K10" s="78">
        <f>40*K9/100</f>
        <v>21.425808000000004</v>
      </c>
      <c r="L10" s="24"/>
      <c r="M10" s="24">
        <f>IF(100*(Calculator!H17/Calculator!H18)&gt;40,40,100*(Calculator!H17/Calculator!H18))</f>
        <v>10</v>
      </c>
    </row>
    <row r="11" spans="1:17" ht="12.75" customHeight="1" x14ac:dyDescent="0.2">
      <c r="A11" s="18"/>
      <c r="B11" s="15">
        <v>0.2</v>
      </c>
      <c r="C11" s="9">
        <v>0.39</v>
      </c>
      <c r="D11" s="8">
        <v>0</v>
      </c>
      <c r="E11" s="8">
        <v>0</v>
      </c>
      <c r="I11" s="11"/>
      <c r="J11" s="11"/>
      <c r="K11" s="24"/>
      <c r="L11" s="24">
        <v>71</v>
      </c>
      <c r="M11" s="24"/>
    </row>
    <row r="12" spans="1:17" ht="12.75" customHeight="1" x14ac:dyDescent="0.2">
      <c r="A12" s="18"/>
      <c r="I12" s="11"/>
      <c r="J12" s="11"/>
      <c r="K12" s="79">
        <f>51.6081+0.8697*M$10+0.624*$L13-0.0185*M$10^2-0.00801*$L13^2+0.01355*M$10*$L13</f>
        <v>72.001190000000022</v>
      </c>
      <c r="L12" s="24"/>
      <c r="M12" s="24"/>
    </row>
    <row r="13" spans="1:17" ht="12.75" customHeight="1" x14ac:dyDescent="0.2">
      <c r="A13" s="18"/>
      <c r="B13" s="15">
        <v>0.9</v>
      </c>
      <c r="C13" s="9">
        <v>1.62</v>
      </c>
      <c r="D13" s="8">
        <v>0</v>
      </c>
      <c r="E13" s="8">
        <v>0.46</v>
      </c>
      <c r="I13" s="11"/>
      <c r="J13" s="12">
        <f>48*(P13/100)*K12/100</f>
        <v>25.565477841848988</v>
      </c>
      <c r="K13" s="11">
        <f>65*(P13/100)*K12/100</f>
        <v>34.619917910837174</v>
      </c>
      <c r="L13" s="9">
        <v>71</v>
      </c>
      <c r="N13" s="13">
        <f>Calculator!H21</f>
        <v>10</v>
      </c>
      <c r="O13" s="10">
        <f>K16</f>
        <v>64.85566</v>
      </c>
      <c r="P13" s="9">
        <f>51.1724+0.6475*O13+0.8577*N13-0.0083*O13^2-0.01867*N13^2+0.01389*O13*N13</f>
        <v>73.972960961504526</v>
      </c>
    </row>
    <row r="14" spans="1:17" ht="12.75" customHeight="1" x14ac:dyDescent="0.2">
      <c r="I14" s="11"/>
      <c r="J14" s="11"/>
    </row>
    <row r="15" spans="1:17" ht="12.75" customHeight="1" x14ac:dyDescent="0.2">
      <c r="I15" s="11"/>
      <c r="J15" s="11"/>
      <c r="K15" s="10">
        <f>56.74131+0.2378*M$10+0.8285*$L16-0.00603*M$10^2-0.00583*$L16^2+0.004782*M$10*$L16</f>
        <v>91.346000000000004</v>
      </c>
    </row>
    <row r="16" spans="1:17" ht="12.75" customHeight="1" x14ac:dyDescent="0.2">
      <c r="I16" s="11"/>
      <c r="J16" s="11">
        <f>48*K15/100</f>
        <v>43.846080000000001</v>
      </c>
      <c r="K16" s="11">
        <f>71*K15/100</f>
        <v>64.85566</v>
      </c>
      <c r="L16" s="9">
        <v>71</v>
      </c>
    </row>
    <row r="17" spans="2:16" ht="12.75" customHeight="1" x14ac:dyDescent="0.2"/>
    <row r="18" spans="2:16" ht="12.75" customHeight="1" x14ac:dyDescent="0.2">
      <c r="F18" s="19" t="s">
        <v>64</v>
      </c>
      <c r="K18" s="9" t="s">
        <v>7</v>
      </c>
      <c r="M18" s="9" t="s">
        <v>56</v>
      </c>
    </row>
    <row r="19" spans="2:16" ht="12.75" customHeight="1" x14ac:dyDescent="0.2">
      <c r="F19" s="19" t="s">
        <v>16</v>
      </c>
      <c r="G19" s="9">
        <f>IF(Calculator!H20&lt;3.5, (data!I26/100)*40*K9/100, IF(Calculator!H20&lt;6,(data!I27/100)*40*K9/100, (data!I28/100)*40*K9/100))</f>
        <v>11.941997189984638</v>
      </c>
      <c r="J19" s="9" t="s">
        <v>16</v>
      </c>
      <c r="K19" s="9">
        <f>86.369-1.1953*Calculator!G24+1.4238*Calculator!H21-0.0000225*Calculator!G24^2-0.02733*Calculator!H21^2+0.02224*Calculator!G24*Calculator!H21</f>
        <v>64.573235362546285</v>
      </c>
      <c r="L19" s="9">
        <f>86.369-1.1953*Calculator!F26+1.4238*Calculator!H21-0.0000225*Calculator!F26^2-0.02733*Calculator!H21^2+0.02224*Calculator!F26*Calculator!H21</f>
        <v>73.53743750000001</v>
      </c>
      <c r="M19" s="9">
        <f>0.0107*M21^2 - 0.2207*M21 - 0.014</f>
        <v>56.128835549362954</v>
      </c>
      <c r="N19" s="9">
        <f>0.0107*N21^2 - 0.2207*N21 - 0.014</f>
        <v>60.653742339999191</v>
      </c>
    </row>
    <row r="20" spans="2:16" ht="12.75" customHeight="1" x14ac:dyDescent="0.2">
      <c r="F20" s="19" t="s">
        <v>17</v>
      </c>
      <c r="G20" s="9">
        <f>IF(Calculator!H20&lt;3.5, (data!J26/100)*65*K12/100, IF(Calculator!H20&lt;6,(data!J27/100)*65*K12/100, (data!J28/100)*65*K12/100))</f>
        <v>27.267613898014542</v>
      </c>
      <c r="J20" s="9" t="s">
        <v>17</v>
      </c>
      <c r="K20" s="9">
        <f>92.7702-0.6648*Calculator!G24+0.8073*Calculator!H21-0.00388*Calculator!G24^2-0.01633*Calculator!H21^2+0.01963*Calculator!G24*Calculator!H21</f>
        <v>78.648342005757598</v>
      </c>
      <c r="L20" s="9">
        <f>92.7702-0.6648*Calculator!F26+0.8073*Calculator!H21-0.00388*Calculator!F26^2-0.01633*Calculator!H21^2+0.01963*Calculator!F26*Calculator!H21</f>
        <v>85.072700000000026</v>
      </c>
      <c r="M20" s="9">
        <f xml:space="preserve"> 0.0062*M21^2 + 0.3355*M21 + 0.0118</f>
        <v>71.226173284957966</v>
      </c>
      <c r="N20" s="9">
        <f xml:space="preserve"> 0.0062*N21^2 + 0.3355*N21 + 0.0118</f>
        <v>75.161760028129706</v>
      </c>
    </row>
    <row r="21" spans="2:16" ht="12.75" customHeight="1" x14ac:dyDescent="0.2">
      <c r="B21" s="15">
        <v>9</v>
      </c>
      <c r="D21" s="8">
        <f>+INDEX(D3:D13,B23,1)</f>
        <v>0</v>
      </c>
      <c r="E21" s="8">
        <f>+INDEX(E3:E13,B23,1)</f>
        <v>0</v>
      </c>
      <c r="F21" s="19" t="s">
        <v>18</v>
      </c>
      <c r="G21" s="9">
        <f>IF(Calculator!H20&lt;3.5, (data!K26/100)*71*K15/100, IF(Calculator!H20&lt;6,(data!K27/100)*71*K15/100, (data!K28/100)*71*K15/100))</f>
        <v>41.410768708458825</v>
      </c>
      <c r="J21" s="9" t="s">
        <v>18</v>
      </c>
      <c r="K21" s="9">
        <f>92.825-0.4303*Calculator!G24+0.7811*Calculator!H21-0.00248*Calculator!G24^2-0.01567*Calculator!H21^2+0.01422*Calculator!G24*Calculator!H21</f>
        <v>86.314677290098373</v>
      </c>
      <c r="L21" s="9">
        <f>92.825-0.4303*Calculator!F26+0.7811*Calculator!H21-0.00248*Calculator!F26^2-0.01567*Calculator!H21^2+0.01422*Calculator!F26*Calculator!H21</f>
        <v>90.316500000000019</v>
      </c>
      <c r="M21" s="9">
        <f>92.2244-0.60723*Calculator!F26+0.61608*Calculator!H21-0.00034*Calculator!F26^2-0.00599*Calculator!H21^2+0.004347*Calculator!F26*Calculator!H21</f>
        <v>83.47969999999998</v>
      </c>
      <c r="N21" s="9">
        <f>92.825-0.4303*Calculator!G24+0.7811*Calculator!H21-0.00248*Calculator!G24^2-0.01567*Calculator!H21^2+0.01422*Calculator!G24*Calculator!H21</f>
        <v>86.314677290098373</v>
      </c>
    </row>
    <row r="22" spans="2:16" ht="12.75" customHeight="1" x14ac:dyDescent="0.2"/>
    <row r="23" spans="2:16" ht="12.75" customHeight="1" x14ac:dyDescent="0.2">
      <c r="B23" s="15">
        <v>2</v>
      </c>
      <c r="G23" s="9">
        <v>3</v>
      </c>
      <c r="K23" s="9">
        <f>-0.0109*V9^2+2.273*V9-19.821</f>
        <v>-19.821000000000002</v>
      </c>
    </row>
    <row r="24" spans="2:16" ht="12.75" customHeight="1" x14ac:dyDescent="0.2"/>
    <row r="25" spans="2:16" ht="12.75" customHeight="1" x14ac:dyDescent="0.2">
      <c r="H25" s="9" t="s">
        <v>60</v>
      </c>
      <c r="I25" s="9" t="s">
        <v>16</v>
      </c>
      <c r="J25" s="9" t="s">
        <v>17</v>
      </c>
      <c r="K25" s="9" t="s">
        <v>18</v>
      </c>
    </row>
    <row r="26" spans="2:16" x14ac:dyDescent="0.2">
      <c r="H26" s="9" t="s">
        <v>61</v>
      </c>
      <c r="I26" s="71">
        <f>56.4966667-1.0125833*L11+3.8441429*M10-0.0009583*L11^2-0.0739333*M10^2+0.0288464*L11*M10</f>
        <v>31.301505099999996</v>
      </c>
      <c r="J26" s="71">
        <f>26.5552381+0.4691429*L13+3.0548571*M10-0.01171433*L13^2-0.0622667*M10^2+0.0273286*L13*M10</f>
        <v>44.537653469999995</v>
      </c>
      <c r="K26" s="71">
        <f>14.6819048+0.1974762*L16+4.0388571*M10-0.000006*L16^2-0.0554667*M10^2-0.0019214*L16*M10</f>
        <v>62.150175999999995</v>
      </c>
      <c r="L26" s="9">
        <f>14.6819048+0.1974762*L16+4.0388571*M10-0.000006*L16^2-0.0554667*M10^2-0.0019214*L16*M10</f>
        <v>62.150175999999995</v>
      </c>
      <c r="N26" s="76"/>
      <c r="O26" s="76"/>
      <c r="P26" s="76"/>
    </row>
    <row r="27" spans="2:16" x14ac:dyDescent="0.2">
      <c r="H27" s="9" t="s">
        <v>62</v>
      </c>
      <c r="I27" s="71">
        <f>80.7138-0.4128*L11+1.3717*M10-0.004012*L11^2-0.027433*M10^2+0.01913*L11*M10</f>
        <v>55.736508000000001</v>
      </c>
      <c r="J27" s="71">
        <f>44.7538095+0.455869*L13+0.3174286*M10-0.0057202*L13^2-0.0075*M10^2+0.0106393*L13*M10</f>
        <v>58.263169299999994</v>
      </c>
      <c r="K27" s="80">
        <f>15.1757143+0.1630119*L16+3.6061429*M10+0.0019405*L16^2-0.0437333*M10^2-0.0061536*L16*M10</f>
        <v>63.850662700000001</v>
      </c>
      <c r="N27" s="76"/>
      <c r="O27" s="76"/>
      <c r="P27" s="76"/>
    </row>
    <row r="28" spans="2:16" x14ac:dyDescent="0.2">
      <c r="H28" s="9" t="s">
        <v>63</v>
      </c>
      <c r="I28" s="71">
        <f>91.7557143+0.0301786*L11+0.1652857*M10-0.0045179*L11^2-0.0082*M10^2+0.0123179*L11*M10</f>
        <v>80.702227000000008</v>
      </c>
      <c r="J28" s="71">
        <f>55.64+0.5903333*L13+0.7198571*M10-0.0079167*L13^2-0.0156333*M10^2+0.0142286*L13*M10</f>
        <v>73.383126599999997</v>
      </c>
      <c r="K28" s="71">
        <f>62.8180952+0.1638571*L16+1.6912857*M10+0.0000893*L16^2-0.0211667*M10^2-0.0043071*L16*M10</f>
        <v>86.640256600000001</v>
      </c>
      <c r="L28" s="9">
        <f>62.8180952+0.1638571*L16+1.6912857*M10+0.0000893*L16^2-0.0211667*M10^2-0.0043071*L16*M10</f>
        <v>86.640256600000001</v>
      </c>
      <c r="N28" s="76"/>
      <c r="O28" s="76"/>
      <c r="P28" s="76"/>
    </row>
    <row r="31" spans="2:16" x14ac:dyDescent="0.2">
      <c r="D31" s="8">
        <f>IF(G19&lt;3.5, (data!I26/100)*40*data!K9/100, IF(G19&lt;6,(data!I27/100)*40*data!K9/100, (data!I28/100)*40*data!K9/100))</f>
        <v>17.291104208744162</v>
      </c>
      <c r="E31" s="8">
        <f>IF(Calculator!H20&lt;3.5, (data!J26/100)*65*data!K12/100, IF(Calculator!H20&lt;6,(data!J27/100)*65*data!K12/100, (data!J28/100)*65*data!K12/100))</f>
        <v>27.267613898014542</v>
      </c>
      <c r="F31" s="9">
        <f>IF(G19&lt;3.5, (data!K26/100)*100*data!K9/100, IF(G19&lt;6,(data!K27/100)*100*data!K9/100, (data!K28/100)*100*data!K9/100))</f>
        <v>46.40843757455832</v>
      </c>
    </row>
    <row r="32" spans="2:16" x14ac:dyDescent="0.2">
      <c r="D32" s="8">
        <f>CHOOSE(data!$K$6,data!J10,data!J13,data!J16)</f>
        <v>43.846080000000001</v>
      </c>
    </row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data</vt:lpstr>
    </vt:vector>
  </TitlesOfParts>
  <Company>SDSU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Gelderman</dc:creator>
  <cp:lastModifiedBy>Ty Faechner</cp:lastModifiedBy>
  <cp:lastPrinted>1999-01-11T21:44:59Z</cp:lastPrinted>
  <dcterms:created xsi:type="dcterms:W3CDTF">1999-01-08T14:23:30Z</dcterms:created>
  <dcterms:modified xsi:type="dcterms:W3CDTF">2019-04-09T17:50:59Z</dcterms:modified>
</cp:coreProperties>
</file>